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<sst xmlns="http://schemas.openxmlformats.org/spreadsheetml/2006/main" count="1626" uniqueCount="268">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</sst>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вересень"/>
      <sheetName val="жовтень"/>
      <sheetName val="листопад"/>
      <sheetName val="грудень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22862952.659999993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9" sqref="I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261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259</v>
      </c>
      <c r="H4" s="184" t="s">
        <v>260</v>
      </c>
      <c r="I4" s="186" t="s">
        <v>188</v>
      </c>
      <c r="J4" s="188" t="s">
        <v>189</v>
      </c>
      <c r="K4" s="190" t="s">
        <v>264</v>
      </c>
      <c r="L4" s="191"/>
      <c r="M4" s="167"/>
      <c r="N4" s="198" t="s">
        <v>267</v>
      </c>
      <c r="O4" s="186" t="s">
        <v>136</v>
      </c>
      <c r="P4" s="186" t="s">
        <v>135</v>
      </c>
      <c r="Q4" s="190" t="s">
        <v>265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258</v>
      </c>
      <c r="F5" s="181"/>
      <c r="G5" s="183"/>
      <c r="H5" s="185"/>
      <c r="I5" s="187"/>
      <c r="J5" s="189"/>
      <c r="K5" s="192"/>
      <c r="L5" s="193"/>
      <c r="M5" s="151" t="s">
        <v>262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303926.13999999996</v>
      </c>
      <c r="G8" s="22">
        <f aca="true" t="shared" si="0" ref="G8:G30">F8-E8</f>
        <v>-8087.250000000058</v>
      </c>
      <c r="H8" s="51">
        <f>F8/E8*100</f>
        <v>97.40804393042232</v>
      </c>
      <c r="I8" s="36">
        <f aca="true" t="shared" si="1" ref="I8:I17">F8-D8</f>
        <v>-184550.16000000003</v>
      </c>
      <c r="J8" s="36">
        <f aca="true" t="shared" si="2" ref="J8:J14">F8/D8*100</f>
        <v>62.21921923335891</v>
      </c>
      <c r="K8" s="36">
        <f>F8-306776.9</f>
        <v>-2850.7600000000675</v>
      </c>
      <c r="L8" s="136">
        <f>F8/306776.9</f>
        <v>0.9907073837697686</v>
      </c>
      <c r="M8" s="22">
        <f>M10+M19+M33+M56+M68+M30</f>
        <v>40778.67999999999</v>
      </c>
      <c r="N8" s="22">
        <f>N10+N19+N33+N56+N68+N30</f>
        <v>34800.86</v>
      </c>
      <c r="O8" s="36">
        <f aca="true" t="shared" si="3" ref="O8:O71">N8-M8</f>
        <v>-5977.819999999992</v>
      </c>
      <c r="P8" s="36">
        <f>F8/M8*100</f>
        <v>745.3064689685884</v>
      </c>
      <c r="Q8" s="36">
        <f>N8-38892.4</f>
        <v>-4091.540000000001</v>
      </c>
      <c r="R8" s="134">
        <f>N8/38892.4</f>
        <v>0.8947984696238853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246806.9</v>
      </c>
      <c r="G9" s="22">
        <f t="shared" si="0"/>
        <v>246806.9</v>
      </c>
      <c r="H9" s="20"/>
      <c r="I9" s="56">
        <f t="shared" si="1"/>
        <v>-140206.30000000002</v>
      </c>
      <c r="J9" s="56">
        <f t="shared" si="2"/>
        <v>63.772217588444015</v>
      </c>
      <c r="K9" s="56"/>
      <c r="L9" s="135"/>
      <c r="M9" s="20">
        <f>M10+M17</f>
        <v>33764.899999999994</v>
      </c>
      <c r="N9" s="20">
        <f>N10+N17</f>
        <v>28921.28</v>
      </c>
      <c r="O9" s="36">
        <f t="shared" si="3"/>
        <v>-4843.619999999995</v>
      </c>
      <c r="P9" s="56">
        <f>F9/M9*100</f>
        <v>730.9569997245662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246806.9</v>
      </c>
      <c r="G10" s="49">
        <f t="shared" si="0"/>
        <v>-8329.100000000006</v>
      </c>
      <c r="H10" s="40">
        <f aca="true" t="shared" si="4" ref="H10:H17">F10/E10*100</f>
        <v>96.73542737990718</v>
      </c>
      <c r="I10" s="56">
        <f t="shared" si="1"/>
        <v>-140206.30000000002</v>
      </c>
      <c r="J10" s="56">
        <f t="shared" si="2"/>
        <v>63.772217588444015</v>
      </c>
      <c r="K10" s="141">
        <f>F10-242707.3</f>
        <v>4099.600000000006</v>
      </c>
      <c r="L10" s="142">
        <f>F10/242707.3</f>
        <v>1.016891127708149</v>
      </c>
      <c r="M10" s="40">
        <f>E10-липень!E10</f>
        <v>33764.899999999994</v>
      </c>
      <c r="N10" s="40">
        <f>F10-липень!F10</f>
        <v>28921.28</v>
      </c>
      <c r="O10" s="53">
        <f t="shared" si="3"/>
        <v>-4843.619999999995</v>
      </c>
      <c r="P10" s="56">
        <f aca="true" t="shared" si="5" ref="P10:P17">N10/M10*100</f>
        <v>85.65486644414764</v>
      </c>
      <c r="Q10" s="141">
        <f>N10-31381.5</f>
        <v>-2460.220000000001</v>
      </c>
      <c r="R10" s="142">
        <f>N10/31381.5</f>
        <v>0.9216028551853799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50.22</v>
      </c>
      <c r="G19" s="49">
        <f t="shared" si="0"/>
        <v>-995.3799999999999</v>
      </c>
      <c r="H19" s="40">
        <f aca="true" t="shared" si="6" ref="H19:H29">F19/E19*100</f>
        <v>4.802983932670238</v>
      </c>
      <c r="I19" s="56">
        <f aca="true" t="shared" si="7" ref="I19:I29">F19-D19</f>
        <v>-949.78</v>
      </c>
      <c r="J19" s="56">
        <f aca="true" t="shared" si="8" ref="J19:J29">F19/D19*100</f>
        <v>5.022</v>
      </c>
      <c r="K19" s="56">
        <f>F19-6117.2</f>
        <v>-6066.98</v>
      </c>
      <c r="L19" s="135">
        <f>F19/6117.2</f>
        <v>0.008209638396652064</v>
      </c>
      <c r="M19" s="40">
        <f>E19-липень!E19</f>
        <v>12</v>
      </c>
      <c r="N19" s="40">
        <f>F19-липень!F19</f>
        <v>-299.15999999999997</v>
      </c>
      <c r="O19" s="53">
        <f t="shared" si="3"/>
        <v>-311.15999999999997</v>
      </c>
      <c r="P19" s="56">
        <f aca="true" t="shared" si="9" ref="P19:P29">N19/M19*100</f>
        <v>-2492.9999999999995</v>
      </c>
      <c r="Q19" s="56">
        <f>N19-74.4</f>
        <v>-373.55999999999995</v>
      </c>
      <c r="R19" s="135">
        <f>N19/74.4</f>
        <v>-4.0209677419354835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550.64</v>
      </c>
      <c r="G29" s="49">
        <f t="shared" si="0"/>
        <v>-234.96000000000004</v>
      </c>
      <c r="H29" s="40">
        <f t="shared" si="6"/>
        <v>70.09164969450102</v>
      </c>
      <c r="I29" s="56">
        <f t="shared" si="7"/>
        <v>-379.36</v>
      </c>
      <c r="J29" s="56">
        <f t="shared" si="8"/>
        <v>59.20860215053764</v>
      </c>
      <c r="K29" s="148">
        <f>F29-2498.05</f>
        <v>-1947.4100000000003</v>
      </c>
      <c r="L29" s="149">
        <f>F29/2498.05</f>
        <v>0.2204279337883549</v>
      </c>
      <c r="M29" s="40">
        <f>E29-липень!E29</f>
        <v>52</v>
      </c>
      <c r="N29" s="40">
        <f>F29-липень!F29</f>
        <v>-300</v>
      </c>
      <c r="O29" s="148">
        <f t="shared" si="3"/>
        <v>-352</v>
      </c>
      <c r="P29" s="145">
        <f t="shared" si="9"/>
        <v>-576.9230769230769</v>
      </c>
      <c r="Q29" s="148">
        <f>N29-74.37</f>
        <v>-374.37</v>
      </c>
      <c r="R29" s="149">
        <f>N29/74.37</f>
        <v>-4.033884630899556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52780.85</v>
      </c>
      <c r="G33" s="49">
        <f aca="true" t="shared" si="14" ref="G33:G72">F33-E33</f>
        <v>1480.0599999999977</v>
      </c>
      <c r="H33" s="40">
        <f aca="true" t="shared" si="15" ref="H33:H67">F33/E33*100</f>
        <v>102.88506278363354</v>
      </c>
      <c r="I33" s="56">
        <f>F33-D33</f>
        <v>-40785.15</v>
      </c>
      <c r="J33" s="56">
        <f aca="true" t="shared" si="16" ref="J33:J72">F33/D33*100</f>
        <v>56.410287925101</v>
      </c>
      <c r="K33" s="141">
        <f>F33-53788.3</f>
        <v>-1007.4500000000044</v>
      </c>
      <c r="L33" s="142">
        <f>F33/53788.3</f>
        <v>0.9812700903356305</v>
      </c>
      <c r="M33" s="40">
        <f>E33-липень!E33</f>
        <v>6439.68</v>
      </c>
      <c r="N33" s="40">
        <f>F33-липень!F33</f>
        <v>5678.689999999995</v>
      </c>
      <c r="O33" s="53">
        <f t="shared" si="3"/>
        <v>-760.9900000000052</v>
      </c>
      <c r="P33" s="56">
        <f aca="true" t="shared" si="17" ref="P33:P67">N33/M33*100</f>
        <v>88.18279790300132</v>
      </c>
      <c r="Q33" s="141">
        <f>N33-6951.4</f>
        <v>-1272.7100000000046</v>
      </c>
      <c r="R33" s="142">
        <f>N33/6951.4</f>
        <v>0.8169131397991765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39188.1</v>
      </c>
      <c r="G55" s="144">
        <f t="shared" si="14"/>
        <v>1397.6100000000006</v>
      </c>
      <c r="H55" s="146">
        <f t="shared" si="15"/>
        <v>103.69831140056664</v>
      </c>
      <c r="I55" s="145">
        <f t="shared" si="18"/>
        <v>-31077.9</v>
      </c>
      <c r="J55" s="145">
        <f t="shared" si="16"/>
        <v>55.77106993424985</v>
      </c>
      <c r="K55" s="148">
        <f>F55-38852.08</f>
        <v>336.0199999999968</v>
      </c>
      <c r="L55" s="149">
        <f>F55/38852.08</f>
        <v>1.0086487004041997</v>
      </c>
      <c r="M55" s="40">
        <f>E55-липень!E55</f>
        <v>4679.68</v>
      </c>
      <c r="N55" s="40">
        <f>F55-липень!F55</f>
        <v>4305.199999999997</v>
      </c>
      <c r="O55" s="148">
        <f t="shared" si="3"/>
        <v>-374.4800000000032</v>
      </c>
      <c r="P55" s="148">
        <f t="shared" si="17"/>
        <v>91.99774343544851</v>
      </c>
      <c r="Q55" s="163">
        <f>N55-5157.94</f>
        <v>-852.7400000000025</v>
      </c>
      <c r="R55" s="164">
        <f>N55/5157.94</f>
        <v>0.8346743079601542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1.51+4282.06</f>
        <v>4283.570000000001</v>
      </c>
      <c r="G56" s="49">
        <f t="shared" si="14"/>
        <v>-220.32999999999902</v>
      </c>
      <c r="H56" s="40">
        <f t="shared" si="15"/>
        <v>95.10801749594798</v>
      </c>
      <c r="I56" s="56">
        <f t="shared" si="18"/>
        <v>-2576.4299999999994</v>
      </c>
      <c r="J56" s="56">
        <f t="shared" si="16"/>
        <v>62.4427113702624</v>
      </c>
      <c r="K56" s="56">
        <f>F56-4138.3</f>
        <v>145.27000000000044</v>
      </c>
      <c r="L56" s="135">
        <f>F56/4138.3</f>
        <v>1.0351037865790302</v>
      </c>
      <c r="M56" s="40">
        <f>E56-липень!E56</f>
        <v>553.5999999999995</v>
      </c>
      <c r="N56" s="40">
        <f>F56-липень!F56</f>
        <v>499.80000000000064</v>
      </c>
      <c r="O56" s="53">
        <f t="shared" si="3"/>
        <v>-53.79999999999882</v>
      </c>
      <c r="P56" s="56">
        <f t="shared" si="17"/>
        <v>90.28179190751466</v>
      </c>
      <c r="Q56" s="56">
        <f>N56-484.9</f>
        <v>14.90000000000066</v>
      </c>
      <c r="R56" s="135">
        <f>N56/484.9</f>
        <v>1.030727985151579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8534.09</v>
      </c>
      <c r="G74" s="50">
        <f aca="true" t="shared" si="24" ref="G74:G92">F74-E74</f>
        <v>-2065.41</v>
      </c>
      <c r="H74" s="51">
        <f aca="true" t="shared" si="25" ref="H74:H87">F74/E74*100</f>
        <v>80.51408085287042</v>
      </c>
      <c r="I74" s="36">
        <f aca="true" t="shared" si="26" ref="I74:I92">F74-D74</f>
        <v>-9824.21</v>
      </c>
      <c r="J74" s="36">
        <f aca="true" t="shared" si="27" ref="J74:J92">F74/D74*100</f>
        <v>46.48627596237125</v>
      </c>
      <c r="K74" s="36">
        <f>F74-12962.5</f>
        <v>-4428.41</v>
      </c>
      <c r="L74" s="136">
        <f>F74/12962.5</f>
        <v>0.6583675988428158</v>
      </c>
      <c r="M74" s="22">
        <f>M77+M86+M88+M89+M94+M95+M96+M97+M99+M87+M104</f>
        <v>1620.5</v>
      </c>
      <c r="N74" s="22">
        <f>N77+N86+N88+N89+N94+N95+N96+N97+N99+N32+N104+N87+N103</f>
        <v>1089.9500000000003</v>
      </c>
      <c r="O74" s="55">
        <f aca="true" t="shared" si="28" ref="O74:O92">N74-M74</f>
        <v>-530.5499999999997</v>
      </c>
      <c r="P74" s="36">
        <f>N74/M74*100</f>
        <v>67.26010490589326</v>
      </c>
      <c r="Q74" s="36">
        <f>N74-1702.6</f>
        <v>-612.6499999999996</v>
      </c>
      <c r="R74" s="136">
        <f>N74/1702.6</f>
        <v>0.640167978385998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56">
        <f>F77-1694.5</f>
        <v>-1571.05</v>
      </c>
      <c r="L77" s="135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675.8</v>
      </c>
      <c r="G96" s="49">
        <f t="shared" si="31"/>
        <v>-18.700000000000045</v>
      </c>
      <c r="H96" s="40">
        <f>F96/E96*100</f>
        <v>97.30741540676745</v>
      </c>
      <c r="I96" s="56">
        <f t="shared" si="32"/>
        <v>-524.2</v>
      </c>
      <c r="J96" s="56">
        <f>F96/D96*100</f>
        <v>56.31666666666666</v>
      </c>
      <c r="K96" s="56">
        <f>F96-693.4</f>
        <v>-17.600000000000023</v>
      </c>
      <c r="L96" s="135">
        <f>F96/693.4</f>
        <v>0.9746178252091144</v>
      </c>
      <c r="M96" s="40">
        <f>E96-липень!E96</f>
        <v>90</v>
      </c>
      <c r="N96" s="40">
        <f>F96-липень!F96</f>
        <v>144.39</v>
      </c>
      <c r="O96" s="53">
        <f t="shared" si="33"/>
        <v>54.389999999999986</v>
      </c>
      <c r="P96" s="56">
        <f>N96/M96*100</f>
        <v>160.4333333333333</v>
      </c>
      <c r="Q96" s="56">
        <f>N96-90.8</f>
        <v>53.58999999999999</v>
      </c>
      <c r="R96" s="135">
        <f>N96/90.8</f>
        <v>1.5901982378854624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2678.07</v>
      </c>
      <c r="G99" s="49">
        <f t="shared" si="31"/>
        <v>81.07000000000016</v>
      </c>
      <c r="H99" s="40">
        <f>F99/E99*100</f>
        <v>103.12167886022334</v>
      </c>
      <c r="I99" s="56">
        <f t="shared" si="32"/>
        <v>-1894.6299999999997</v>
      </c>
      <c r="J99" s="56">
        <f>F99/D99*100</f>
        <v>58.56649244428894</v>
      </c>
      <c r="K99" s="56">
        <f>F99-2979.1</f>
        <v>-301.02999999999975</v>
      </c>
      <c r="L99" s="135">
        <f>F99/2979.1</f>
        <v>0.8989527038367293</v>
      </c>
      <c r="M99" s="40">
        <f>E99-липень!E99</f>
        <v>410</v>
      </c>
      <c r="N99" s="40">
        <f>F99-липень!F99</f>
        <v>331.98</v>
      </c>
      <c r="O99" s="53">
        <f t="shared" si="33"/>
        <v>-78.01999999999998</v>
      </c>
      <c r="P99" s="56">
        <f>N99/M99*100</f>
        <v>80.97073170731707</v>
      </c>
      <c r="Q99" s="56">
        <f>N99-355.4</f>
        <v>-23.41999999999996</v>
      </c>
      <c r="R99" s="135">
        <f>N99/355.4</f>
        <v>0.9341024198086664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622</v>
      </c>
      <c r="G102" s="144"/>
      <c r="H102" s="146"/>
      <c r="I102" s="145"/>
      <c r="J102" s="145"/>
      <c r="K102" s="148">
        <f>F102-421.2</f>
        <v>200.8</v>
      </c>
      <c r="L102" s="149">
        <f>F102/421.2</f>
        <v>1.47673314339981</v>
      </c>
      <c r="M102" s="40">
        <f>E102-липень!E102</f>
        <v>0</v>
      </c>
      <c r="N102" s="40">
        <f>F102-липень!F102</f>
        <v>152.10000000000002</v>
      </c>
      <c r="O102" s="53"/>
      <c r="P102" s="60"/>
      <c r="Q102" s="60">
        <f>N102-95.6</f>
        <v>56.50000000000003</v>
      </c>
      <c r="R102" s="138">
        <f>N102/95.6</f>
        <v>1.5910041841004188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312477.82999999996</v>
      </c>
      <c r="G107" s="50">
        <f>F107-E107</f>
        <v>-10156.260000000068</v>
      </c>
      <c r="H107" s="51">
        <f>F107/E107*100</f>
        <v>96.85208094408124</v>
      </c>
      <c r="I107" s="36">
        <f t="shared" si="34"/>
        <v>-194401.77000000002</v>
      </c>
      <c r="J107" s="36">
        <f t="shared" si="36"/>
        <v>61.647347811985334</v>
      </c>
      <c r="K107" s="36">
        <f>F107-319755.3</f>
        <v>-7277.47000000003</v>
      </c>
      <c r="L107" s="136">
        <f>F107/319755.3</f>
        <v>0.9772405023466381</v>
      </c>
      <c r="M107" s="22">
        <f>M8+M74+M105+M106</f>
        <v>42402.17999999999</v>
      </c>
      <c r="N107" s="22">
        <f>N8+N74+N105+N106</f>
        <v>35892.9</v>
      </c>
      <c r="O107" s="55">
        <f t="shared" si="35"/>
        <v>-6509.279999999992</v>
      </c>
      <c r="P107" s="36">
        <f>N107/M107*100</f>
        <v>84.64871381612929</v>
      </c>
      <c r="Q107" s="36">
        <f>N107-40595</f>
        <v>-4702.0999999999985</v>
      </c>
      <c r="R107" s="136">
        <f>N107/40595</f>
        <v>0.8841704643428994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247482.69999999998</v>
      </c>
      <c r="G108" s="71">
        <f>G10-G18+G96</f>
        <v>-8347.800000000007</v>
      </c>
      <c r="H108" s="72">
        <f>F108/E108*100</f>
        <v>96.73698014896581</v>
      </c>
      <c r="I108" s="52">
        <f t="shared" si="34"/>
        <v>-140730.50000000003</v>
      </c>
      <c r="J108" s="52">
        <f t="shared" si="36"/>
        <v>63.749171846809936</v>
      </c>
      <c r="K108" s="52">
        <f>F108-243489.6</f>
        <v>3993.0999999999767</v>
      </c>
      <c r="L108" s="137">
        <f>F108/243489.6</f>
        <v>1.0163994683961861</v>
      </c>
      <c r="M108" s="71">
        <f>M10-M18+M96</f>
        <v>33854.899999999994</v>
      </c>
      <c r="N108" s="71">
        <f>N10-N18+N96</f>
        <v>29065.67</v>
      </c>
      <c r="O108" s="53">
        <f t="shared" si="35"/>
        <v>-4789.229999999996</v>
      </c>
      <c r="P108" s="52">
        <f>N108/M108*100</f>
        <v>85.8536578161507</v>
      </c>
      <c r="Q108" s="52">
        <f>N108-31472.4</f>
        <v>-2406.730000000003</v>
      </c>
      <c r="R108" s="137">
        <f>N108/31472.4</f>
        <v>0.9235288697398354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64995.129999999976</v>
      </c>
      <c r="G109" s="62">
        <f>F109-E109</f>
        <v>-1808.46000000005</v>
      </c>
      <c r="H109" s="72">
        <f>F109/E109*100</f>
        <v>97.29287003887059</v>
      </c>
      <c r="I109" s="52">
        <f t="shared" si="34"/>
        <v>-53671.26999999999</v>
      </c>
      <c r="J109" s="52">
        <f t="shared" si="36"/>
        <v>54.77130004786527</v>
      </c>
      <c r="K109" s="52">
        <f>F109-76265.7</f>
        <v>-11270.570000000022</v>
      </c>
      <c r="L109" s="137">
        <f>F109/76265.7</f>
        <v>0.852219674113002</v>
      </c>
      <c r="M109" s="71">
        <f>M107-M108</f>
        <v>8547.279999999999</v>
      </c>
      <c r="N109" s="71">
        <f>N107-N108</f>
        <v>6827.230000000003</v>
      </c>
      <c r="O109" s="53">
        <f t="shared" si="35"/>
        <v>-1720.0499999999956</v>
      </c>
      <c r="P109" s="52">
        <f>N109/M109*100</f>
        <v>79.87605413652066</v>
      </c>
      <c r="Q109" s="52">
        <f>N109-9122.6</f>
        <v>-2295.369999999997</v>
      </c>
      <c r="R109" s="137">
        <f>N109/9122.6</f>
        <v>0.7483864249227197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247482.69999999998</v>
      </c>
      <c r="G110" s="111">
        <f>F110-E110</f>
        <v>-2977.9000000000233</v>
      </c>
      <c r="H110" s="72">
        <f>F110/E110*100</f>
        <v>98.81103055730122</v>
      </c>
      <c r="I110" s="81">
        <f t="shared" si="34"/>
        <v>-140730.50000000003</v>
      </c>
      <c r="J110" s="52">
        <f t="shared" si="36"/>
        <v>63.749171846809936</v>
      </c>
      <c r="K110" s="52"/>
      <c r="L110" s="137"/>
      <c r="M110" s="72">
        <f>E110-липень!E110</f>
        <v>33854.899999999994</v>
      </c>
      <c r="N110" s="71">
        <f>N108</f>
        <v>29065.67</v>
      </c>
      <c r="O110" s="63">
        <f t="shared" si="35"/>
        <v>-4789.229999999996</v>
      </c>
      <c r="P110" s="52">
        <f>N110/M110*100</f>
        <v>85.8536578161507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967.99</v>
      </c>
      <c r="G115" s="49">
        <f t="shared" si="37"/>
        <v>-1384.11</v>
      </c>
      <c r="H115" s="40">
        <f aca="true" t="shared" si="39" ref="H115:H126">F115/E115*100</f>
        <v>41.15428765783768</v>
      </c>
      <c r="I115" s="60">
        <f t="shared" si="38"/>
        <v>-2703.51</v>
      </c>
      <c r="J115" s="60">
        <f aca="true" t="shared" si="40" ref="J115:J121">F115/D115*100</f>
        <v>26.364973444096417</v>
      </c>
      <c r="K115" s="60">
        <f>F115-2927.1</f>
        <v>-1959.11</v>
      </c>
      <c r="L115" s="138">
        <f>F115/2927.1</f>
        <v>0.3306993269789211</v>
      </c>
      <c r="M115" s="40">
        <f>E115-липень!E115</f>
        <v>327.5</v>
      </c>
      <c r="N115" s="40">
        <f>F115-липень!F115</f>
        <v>154.64</v>
      </c>
      <c r="O115" s="53">
        <f aca="true" t="shared" si="41" ref="O115:O126">N115-M115</f>
        <v>-172.86</v>
      </c>
      <c r="P115" s="60">
        <f>N115/M115*100</f>
        <v>47.21832061068702</v>
      </c>
      <c r="Q115" s="60">
        <f>N115-728.3</f>
        <v>-573.66</v>
      </c>
      <c r="R115" s="138">
        <f>N115/728.3</f>
        <v>0.21233008375669365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1174.35</v>
      </c>
      <c r="G117" s="62">
        <f t="shared" si="37"/>
        <v>-1356.25</v>
      </c>
      <c r="H117" s="72">
        <f t="shared" si="39"/>
        <v>46.40599067414842</v>
      </c>
      <c r="I117" s="61">
        <f t="shared" si="38"/>
        <v>-2765.25</v>
      </c>
      <c r="J117" s="61">
        <f t="shared" si="40"/>
        <v>29.80886384404508</v>
      </c>
      <c r="K117" s="61">
        <f>F117-3123.4</f>
        <v>-1949.0500000000002</v>
      </c>
      <c r="L117" s="139">
        <f>F117/3123.4</f>
        <v>0.3759845040660818</v>
      </c>
      <c r="M117" s="62">
        <f>M115+M116+M114</f>
        <v>349.5</v>
      </c>
      <c r="N117" s="38">
        <f>SUM(N114:N116)</f>
        <v>178.79999999999998</v>
      </c>
      <c r="O117" s="61">
        <f t="shared" si="41"/>
        <v>-170.70000000000002</v>
      </c>
      <c r="P117" s="61">
        <f>N117/M117*100</f>
        <v>51.158798283261795</v>
      </c>
      <c r="Q117" s="61">
        <f>N117-757.4</f>
        <v>-578.6</v>
      </c>
      <c r="R117" s="139">
        <f>N117/757.4</f>
        <v>0.236070768418273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284.96</v>
      </c>
      <c r="G119" s="49">
        <f t="shared" si="37"/>
        <v>102.45999999999998</v>
      </c>
      <c r="H119" s="40">
        <f t="shared" si="39"/>
        <v>156.14246575342466</v>
      </c>
      <c r="I119" s="60">
        <f t="shared" si="38"/>
        <v>17.75999999999999</v>
      </c>
      <c r="J119" s="60">
        <f t="shared" si="40"/>
        <v>106.64670658682634</v>
      </c>
      <c r="K119" s="60">
        <f>F119-173.1</f>
        <v>111.85999999999999</v>
      </c>
      <c r="L119" s="138">
        <f>F119/173.1</f>
        <v>1.646216060080878</v>
      </c>
      <c r="M119" s="40">
        <f>E119-липень!E119</f>
        <v>0</v>
      </c>
      <c r="N119" s="40">
        <f>F119-липень!F119</f>
        <v>25.889999999999986</v>
      </c>
      <c r="O119" s="53">
        <f>N119-M119</f>
        <v>25.889999999999986</v>
      </c>
      <c r="P119" s="60" t="e">
        <f>N119/M119*100</f>
        <v>#DIV/0!</v>
      </c>
      <c r="Q119" s="60">
        <f>N119-0.4</f>
        <v>25.489999999999988</v>
      </c>
      <c r="R119" s="138">
        <f>N119/0.4</f>
        <v>64.72499999999997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56088.38</v>
      </c>
      <c r="G120" s="49">
        <f t="shared" si="37"/>
        <v>6675.779999999999</v>
      </c>
      <c r="H120" s="40">
        <f t="shared" si="39"/>
        <v>113.51027875481152</v>
      </c>
      <c r="I120" s="53">
        <f t="shared" si="38"/>
        <v>-15887.610000000008</v>
      </c>
      <c r="J120" s="60">
        <f t="shared" si="40"/>
        <v>77.92651410560659</v>
      </c>
      <c r="K120" s="60">
        <f>F120-47624.2</f>
        <v>8464.18</v>
      </c>
      <c r="L120" s="138">
        <f>F120/47624.2</f>
        <v>1.177728549770915</v>
      </c>
      <c r="M120" s="40">
        <f>E120-липень!E120</f>
        <v>8100</v>
      </c>
      <c r="N120" s="40">
        <f>F120-липень!F120</f>
        <v>9878.649999999994</v>
      </c>
      <c r="O120" s="53">
        <f t="shared" si="41"/>
        <v>1778.6499999999942</v>
      </c>
      <c r="P120" s="60">
        <f aca="true" t="shared" si="42" ref="P120:P125">N120/M120*100</f>
        <v>121.95864197530857</v>
      </c>
      <c r="Q120" s="60">
        <f>N120-7964.9</f>
        <v>1913.7499999999945</v>
      </c>
      <c r="R120" s="138">
        <f>N120/7964.9</f>
        <v>1.2402729475574075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33">
        <v>1754.65</v>
      </c>
      <c r="G121" s="49">
        <f t="shared" si="37"/>
        <v>31.65000000000009</v>
      </c>
      <c r="H121" s="40">
        <f t="shared" si="39"/>
        <v>101.83691236215904</v>
      </c>
      <c r="I121" s="60">
        <f t="shared" si="38"/>
        <v>-2995.35</v>
      </c>
      <c r="J121" s="60">
        <f t="shared" si="40"/>
        <v>36.94</v>
      </c>
      <c r="K121" s="60">
        <f>F121-1122.3</f>
        <v>632.3500000000001</v>
      </c>
      <c r="L121" s="138">
        <f>F121/1122.3</f>
        <v>1.5634411476432328</v>
      </c>
      <c r="M121" s="40">
        <f>E121-липень!E121</f>
        <v>40</v>
      </c>
      <c r="N121" s="40">
        <f>F121-липень!F121</f>
        <v>76.51999999999998</v>
      </c>
      <c r="O121" s="53">
        <f t="shared" si="41"/>
        <v>36.51999999999998</v>
      </c>
      <c r="P121" s="60">
        <f t="shared" si="42"/>
        <v>191.29999999999995</v>
      </c>
      <c r="Q121" s="60">
        <f>N121-1.4</f>
        <v>75.11999999999998</v>
      </c>
      <c r="R121" s="138">
        <f>N121/1.4</f>
        <v>54.657142857142844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38">
        <f>F120+F121+F122+F123+F119</f>
        <v>61284.4</v>
      </c>
      <c r="G124" s="62">
        <f t="shared" si="37"/>
        <v>-889.3299999999945</v>
      </c>
      <c r="H124" s="72">
        <f t="shared" si="39"/>
        <v>98.56960487974584</v>
      </c>
      <c r="I124" s="61">
        <f t="shared" si="38"/>
        <v>-40786.79</v>
      </c>
      <c r="J124" s="61">
        <f>F124/D124*100</f>
        <v>60.04084012344717</v>
      </c>
      <c r="K124" s="61">
        <f>F124-65296.9</f>
        <v>-4012.5</v>
      </c>
      <c r="L124" s="139">
        <f>F124/65296.9</f>
        <v>0.9385499158459284</v>
      </c>
      <c r="M124" s="62">
        <f>M120+M121+M122+M123+M119</f>
        <v>10711.09</v>
      </c>
      <c r="N124" s="62">
        <f>N120+N121+N122+N123+N119</f>
        <v>10137.279999999993</v>
      </c>
      <c r="O124" s="61">
        <f t="shared" si="41"/>
        <v>-573.8100000000068</v>
      </c>
      <c r="P124" s="61">
        <f t="shared" si="42"/>
        <v>94.64284213838174</v>
      </c>
      <c r="Q124" s="61">
        <f>N124-8817.5</f>
        <v>1319.7799999999934</v>
      </c>
      <c r="R124" s="139">
        <f>N124/8817.5</f>
        <v>1.1496773461865601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7363.45</v>
      </c>
      <c r="G128" s="49">
        <f aca="true" t="shared" si="43" ref="G128:G135">F128-E128</f>
        <v>645.9499999999998</v>
      </c>
      <c r="H128" s="40">
        <f>F128/E128*100</f>
        <v>109.61592854484554</v>
      </c>
      <c r="I128" s="60">
        <f aca="true" t="shared" si="44" ref="I128:I135">F128-D128</f>
        <v>-1336.5500000000002</v>
      </c>
      <c r="J128" s="60">
        <f>F128/D128*100</f>
        <v>84.63735632183908</v>
      </c>
      <c r="K128" s="60">
        <f>F128-8680.2</f>
        <v>-1316.750000000001</v>
      </c>
      <c r="L128" s="138">
        <f>F128/8680.2</f>
        <v>0.8483041865394806</v>
      </c>
      <c r="M128" s="40">
        <f>E128-липень!E128</f>
        <v>1702</v>
      </c>
      <c r="N128" s="40">
        <f>F128-липень!F128</f>
        <v>2055.2799999999997</v>
      </c>
      <c r="O128" s="53">
        <f aca="true" t="shared" si="45" ref="O128:O135">N128-M128</f>
        <v>353.27999999999975</v>
      </c>
      <c r="P128" s="60">
        <f>N128/M128*100</f>
        <v>120.75675675675674</v>
      </c>
      <c r="Q128" s="60">
        <f>N128-2359.4</f>
        <v>-304.12000000000035</v>
      </c>
      <c r="R128" s="162">
        <f>N128/2359.4</f>
        <v>0.8711028227515468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0.73</v>
      </c>
      <c r="G129" s="49">
        <f t="shared" si="43"/>
        <v>0.73</v>
      </c>
      <c r="H129" s="40"/>
      <c r="I129" s="60">
        <f t="shared" si="44"/>
        <v>0.73</v>
      </c>
      <c r="J129" s="60"/>
      <c r="K129" s="60">
        <f>F129-0.3</f>
        <v>0.43</v>
      </c>
      <c r="L129" s="138">
        <f>F129/0.3</f>
        <v>2.4333333333333336</v>
      </c>
      <c r="M129" s="40">
        <f>E129-липень!E129</f>
        <v>0</v>
      </c>
      <c r="N129" s="40">
        <f>F129-липень!F129</f>
        <v>0.20999999999999996</v>
      </c>
      <c r="O129" s="53">
        <f t="shared" si="45"/>
        <v>0.20999999999999996</v>
      </c>
      <c r="P129" s="60"/>
      <c r="Q129" s="60">
        <f>N129-0.4</f>
        <v>-0.19000000000000006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7397.829999999999</v>
      </c>
      <c r="G130" s="62">
        <f t="shared" si="43"/>
        <v>649.9699999999993</v>
      </c>
      <c r="H130" s="72">
        <f>F130/E130*100</f>
        <v>109.63223896168562</v>
      </c>
      <c r="I130" s="61">
        <f t="shared" si="44"/>
        <v>-1352.8700000000017</v>
      </c>
      <c r="J130" s="61">
        <f>F130/D130*100</f>
        <v>84.53986538219797</v>
      </c>
      <c r="K130" s="61">
        <f>F130-8800.6</f>
        <v>-1402.7700000000013</v>
      </c>
      <c r="L130" s="139">
        <f>G130/8800.6</f>
        <v>0.0738551916914755</v>
      </c>
      <c r="M130" s="62">
        <f>M125+M128+M129+M127</f>
        <v>1706</v>
      </c>
      <c r="N130" s="62">
        <f>N125+N128+N129+N127</f>
        <v>2055.49</v>
      </c>
      <c r="O130" s="61">
        <f t="shared" si="45"/>
        <v>349.4899999999998</v>
      </c>
      <c r="P130" s="61">
        <f>N130/M130*100</f>
        <v>120.48593200468932</v>
      </c>
      <c r="Q130" s="61">
        <f>N130-2362.3</f>
        <v>-306.8100000000004</v>
      </c>
      <c r="R130" s="137">
        <f>N130/2362.3</f>
        <v>0.8701223383990178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69878.98</v>
      </c>
      <c r="G134" s="50">
        <f t="shared" si="43"/>
        <v>-1589.6600000000035</v>
      </c>
      <c r="H134" s="51">
        <f>F134/E134*100</f>
        <v>97.77572373001641</v>
      </c>
      <c r="I134" s="36">
        <f t="shared" si="44"/>
        <v>-44912.51000000001</v>
      </c>
      <c r="J134" s="36">
        <f>F134/D134*100</f>
        <v>60.874704213700845</v>
      </c>
      <c r="K134" s="36">
        <f>F134-77238.6</f>
        <v>-7359.62000000001</v>
      </c>
      <c r="L134" s="136">
        <f>F134/77238.6</f>
        <v>0.9047157768266125</v>
      </c>
      <c r="M134" s="31">
        <f>M117+M131+M124+M130+M133+M132</f>
        <v>12766.99</v>
      </c>
      <c r="N134" s="31">
        <f>N117+N131+N124+N130+N133+N132</f>
        <v>12371.569999999992</v>
      </c>
      <c r="O134" s="36">
        <f t="shared" si="45"/>
        <v>-395.42000000000735</v>
      </c>
      <c r="P134" s="36">
        <f>N134/M134*100</f>
        <v>96.90279384569106</v>
      </c>
      <c r="Q134" s="36">
        <f>N134-11937.6</f>
        <v>433.96999999999207</v>
      </c>
      <c r="R134" s="136">
        <f>N134/11937.6</f>
        <v>1.0363532033239506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382356.80999999994</v>
      </c>
      <c r="G135" s="50">
        <f t="shared" si="43"/>
        <v>-11745.9200000001</v>
      </c>
      <c r="H135" s="51">
        <f>F135/E135*100</f>
        <v>97.01957913359288</v>
      </c>
      <c r="I135" s="36">
        <f t="shared" si="44"/>
        <v>-239314.28000000003</v>
      </c>
      <c r="J135" s="36">
        <f>F135/D135*100</f>
        <v>61.50467926697378</v>
      </c>
      <c r="K135" s="36">
        <f>F135-396993.9</f>
        <v>-14637.090000000084</v>
      </c>
      <c r="L135" s="136">
        <f>F135/396993.9</f>
        <v>0.9631301891540397</v>
      </c>
      <c r="M135" s="22">
        <f>M107+M134</f>
        <v>55169.16999999999</v>
      </c>
      <c r="N135" s="22">
        <f>N107+N134</f>
        <v>48264.469999999994</v>
      </c>
      <c r="O135" s="36">
        <f t="shared" si="45"/>
        <v>-6904.699999999997</v>
      </c>
      <c r="P135" s="36">
        <f>N135/M135*100</f>
        <v>87.4844954165524</v>
      </c>
      <c r="Q135" s="36">
        <f>N135-52532.5</f>
        <v>-4268.030000000006</v>
      </c>
      <c r="R135" s="136">
        <f>N135/52532.5</f>
        <v>0.9187544853186121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</v>
      </c>
      <c r="D137" s="4" t="s">
        <v>118</v>
      </c>
    </row>
    <row r="138" spans="2:17" ht="31.5">
      <c r="B138" s="78" t="s">
        <v>154</v>
      </c>
      <c r="C138" s="39">
        <f>IF(O107&lt;0,ABS(O107/C137),0)</f>
        <v>6509.279999999992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41879</v>
      </c>
      <c r="D139" s="39">
        <v>3653.6</v>
      </c>
      <c r="N139" s="195"/>
      <c r="O139" s="195"/>
    </row>
    <row r="140" spans="3:15" ht="15.75">
      <c r="C140" s="120">
        <v>41878</v>
      </c>
      <c r="D140" s="39">
        <v>1194.3</v>
      </c>
      <c r="F140" s="4" t="s">
        <v>166</v>
      </c>
      <c r="G140" s="196" t="s">
        <v>151</v>
      </c>
      <c r="H140" s="196"/>
      <c r="I140" s="115"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41877</v>
      </c>
      <c r="D141" s="39">
        <v>1146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127800.94537</v>
      </c>
      <c r="E143" s="80"/>
      <c r="F143" s="100" t="s">
        <v>147</v>
      </c>
      <c r="G143" s="196" t="s">
        <v>149</v>
      </c>
      <c r="H143" s="196"/>
      <c r="I143" s="116">
        <v>113971.08741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22862.95265999999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5"/>
      <c r="O139" s="195"/>
    </row>
    <row r="140" spans="3:15" ht="15.75">
      <c r="C140" s="120">
        <v>41850</v>
      </c>
      <c r="D140" s="39">
        <v>4320</v>
      </c>
      <c r="F140" s="4" t="s">
        <v>166</v>
      </c>
      <c r="G140" s="196" t="s">
        <v>151</v>
      </c>
      <c r="H140" s="196"/>
      <c r="I140" s="115">
        <f>13825221.96/1000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41849</v>
      </c>
      <c r="D141" s="39">
        <v>4403.7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f>120856761.09/1000</f>
        <v>120856.76109</v>
      </c>
      <c r="E143" s="80"/>
      <c r="F143" s="100" t="s">
        <v>147</v>
      </c>
      <c r="G143" s="196" t="s">
        <v>149</v>
      </c>
      <c r="H143" s="196"/>
      <c r="I143" s="116">
        <f>107031539.13/1000</f>
        <v>107031.53912999999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f>26199804.73/1000</f>
        <v>26199.80473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22862.95265999999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191</v>
      </c>
      <c r="F4" s="216" t="s">
        <v>116</v>
      </c>
      <c r="G4" s="218" t="s">
        <v>167</v>
      </c>
      <c r="H4" s="184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98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184</v>
      </c>
      <c r="L5" s="193"/>
      <c r="M5" s="213"/>
      <c r="N5" s="199"/>
      <c r="O5" s="221"/>
      <c r="P5" s="208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88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153</v>
      </c>
      <c r="F4" s="216" t="s">
        <v>116</v>
      </c>
      <c r="G4" s="218" t="s">
        <v>175</v>
      </c>
      <c r="H4" s="184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98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177</v>
      </c>
      <c r="L5" s="193"/>
      <c r="M5" s="189"/>
      <c r="N5" s="199"/>
      <c r="O5" s="221"/>
      <c r="P5" s="208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2014-08-29T09:27:07Z</cp:lastPrinted>
  <dcterms:created xsi:type="dcterms:W3CDTF">2003-07-28T11:27:56Z</dcterms:created>
  <dcterms:modified xsi:type="dcterms:W3CDTF">2014-08-29T09:39:28Z</dcterms:modified>
  <cp:category/>
  <cp:version/>
  <cp:contentType/>
  <cp:contentStatus/>
</cp:coreProperties>
</file>